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44" windowWidth="22020" windowHeight="11640" activeTab="0"/>
  </bookViews>
  <sheets>
    <sheet name="Ascent" sheetId="1" r:id="rId1"/>
    <sheet name="Theory" sheetId="2" r:id="rId2"/>
    <sheet name="Isp - Mach" sheetId="3" r:id="rId3"/>
    <sheet name="Ct &amp; Isp" sheetId="4" r:id="rId4"/>
    <sheet name="T - Altitude" sheetId="5" r:id="rId5"/>
  </sheets>
  <definedNames/>
  <calcPr fullCalcOnLoad="1"/>
</workbook>
</file>

<file path=xl/sharedStrings.xml><?xml version="1.0" encoding="utf-8"?>
<sst xmlns="http://schemas.openxmlformats.org/spreadsheetml/2006/main" count="237" uniqueCount="84">
  <si>
    <t>Mg</t>
  </si>
  <si>
    <t>km</t>
  </si>
  <si>
    <t>Takeoff</t>
  </si>
  <si>
    <t>Maximum</t>
  </si>
  <si>
    <t>Altitude</t>
  </si>
  <si>
    <t>Ambient</t>
  </si>
  <si>
    <t>Temperature</t>
  </si>
  <si>
    <t>K</t>
  </si>
  <si>
    <t>Mach</t>
  </si>
  <si>
    <t>Number</t>
  </si>
  <si>
    <t>-</t>
  </si>
  <si>
    <t>Speed</t>
  </si>
  <si>
    <t>Flight</t>
  </si>
  <si>
    <t>km/s</t>
  </si>
  <si>
    <t>Specific</t>
  </si>
  <si>
    <t>Impulse</t>
  </si>
  <si>
    <t>s</t>
  </si>
  <si>
    <t>Gravity</t>
  </si>
  <si>
    <t>Acceleration</t>
  </si>
  <si>
    <t>Force</t>
  </si>
  <si>
    <t>N/kg</t>
  </si>
  <si>
    <t>Ratio</t>
  </si>
  <si>
    <t>Mass Ratio</t>
  </si>
  <si>
    <t>M1/M0</t>
  </si>
  <si>
    <t>Mass (M0)</t>
  </si>
  <si>
    <t>Mass (M1)</t>
  </si>
  <si>
    <t>M2/M1</t>
  </si>
  <si>
    <t>Mass (M2)</t>
  </si>
  <si>
    <t>Lift-to-Drag</t>
  </si>
  <si>
    <t>Fuel Fraction</t>
  </si>
  <si>
    <t>Mf/M0</t>
  </si>
  <si>
    <t>Burn</t>
  </si>
  <si>
    <t>Time</t>
  </si>
  <si>
    <t>Average</t>
  </si>
  <si>
    <t>Path</t>
  </si>
  <si>
    <t>Climb</t>
  </si>
  <si>
    <t>Angle</t>
  </si>
  <si>
    <t>deg</t>
  </si>
  <si>
    <t>Vehicle</t>
  </si>
  <si>
    <t>Fuel</t>
  </si>
  <si>
    <t>Total Fuel</t>
  </si>
  <si>
    <t>Burn Rate</t>
  </si>
  <si>
    <t>Thrust</t>
  </si>
  <si>
    <t>kN</t>
  </si>
  <si>
    <t>kg/s</t>
  </si>
  <si>
    <t>Average Fuel</t>
  </si>
  <si>
    <t>Apogee</t>
  </si>
  <si>
    <t>Sub-Orbit</t>
  </si>
  <si>
    <t>Duration</t>
  </si>
  <si>
    <t>Range</t>
  </si>
  <si>
    <t>Density</t>
  </si>
  <si>
    <t>m³</t>
  </si>
  <si>
    <t>kg/m³</t>
  </si>
  <si>
    <t>Volume</t>
  </si>
  <si>
    <t>Fuel Use</t>
  </si>
  <si>
    <t>m/s²</t>
  </si>
  <si>
    <t>Mass (Mf)</t>
  </si>
  <si>
    <t>Terminal</t>
  </si>
  <si>
    <t>LH₂- LO₂</t>
  </si>
  <si>
    <t>LO₂</t>
  </si>
  <si>
    <t>LH₂</t>
  </si>
  <si>
    <t>M3/M2</t>
  </si>
  <si>
    <t>Mass (M3)</t>
  </si>
  <si>
    <t>LO₂- LH₂</t>
  </si>
  <si>
    <t>Pressure</t>
  </si>
  <si>
    <t>Pa</t>
  </si>
  <si>
    <t>Dynamic</t>
  </si>
  <si>
    <t>kPa</t>
  </si>
  <si>
    <t>Ascent</t>
  </si>
  <si>
    <t>h &gt; 105 km</t>
  </si>
  <si>
    <t>Sub-Orbit:</t>
  </si>
  <si>
    <t>https://arc.uta.edu/research/pde.htm</t>
  </si>
  <si>
    <t>Source:</t>
  </si>
  <si>
    <t>https://rocketcea.readthedocs.io/en/latest/engine_mr.html</t>
  </si>
  <si>
    <t>https://www.digitaldutch.com/atmoscalc/index.htm</t>
  </si>
  <si>
    <t>Lift</t>
  </si>
  <si>
    <t>NASA-TM-102839-1991</t>
  </si>
  <si>
    <t>Ejector</t>
  </si>
  <si>
    <t>Scramjet</t>
  </si>
  <si>
    <t>Rocket</t>
  </si>
  <si>
    <t>http://space-plane.org/</t>
  </si>
  <si>
    <t>Note:</t>
  </si>
  <si>
    <t>Fuel = LH₂+ LO₂</t>
  </si>
  <si>
    <t>Inertia-to-Weight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</si>
</sst>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E+00"/>
    <numFmt numFmtId="167" formatCode="0.0000E+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 quotePrefix="1">
      <alignment horizontal="left"/>
    </xf>
    <xf numFmtId="164" fontId="0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7</xdr:row>
      <xdr:rowOff>0</xdr:rowOff>
    </xdr:from>
    <xdr:to>
      <xdr:col>13</xdr:col>
      <xdr:colOff>9525</xdr:colOff>
      <xdr:row>10</xdr:row>
      <xdr:rowOff>9525</xdr:rowOff>
    </xdr:to>
    <xdr:pic>
      <xdr:nvPicPr>
        <xdr:cNvPr id="1" name="cmdOrb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33475"/>
          <a:ext cx="9810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9525</xdr:colOff>
      <xdr:row>23</xdr:row>
      <xdr:rowOff>152400</xdr:rowOff>
    </xdr:from>
    <xdr:to>
      <xdr:col>15</xdr:col>
      <xdr:colOff>638175</xdr:colOff>
      <xdr:row>44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01350" y="3876675"/>
          <a:ext cx="45529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37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48600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885825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38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1490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5"/>
  <sheetViews>
    <sheetView tabSelected="1" zoomScale="80" zoomScaleNormal="80" workbookViewId="0" topLeftCell="A1">
      <selection activeCell="M15" sqref="M15"/>
    </sheetView>
  </sheetViews>
  <sheetFormatPr defaultColWidth="9.140625" defaultRowHeight="12.75"/>
  <cols>
    <col min="1" max="16384" width="14.7109375" style="1" customWidth="1"/>
  </cols>
  <sheetData>
    <row r="1" spans="1:13" ht="12.75">
      <c r="A1" s="2" t="s">
        <v>54</v>
      </c>
      <c r="C1" s="17"/>
      <c r="D1" s="16"/>
      <c r="L1" s="2" t="s">
        <v>70</v>
      </c>
      <c r="M1" s="1" t="s">
        <v>69</v>
      </c>
    </row>
    <row r="3" spans="1:14" ht="12.75">
      <c r="A3" s="1" t="s">
        <v>60</v>
      </c>
      <c r="B3" s="1" t="s">
        <v>59</v>
      </c>
      <c r="C3" s="1" t="s">
        <v>63</v>
      </c>
      <c r="D3" s="1" t="s">
        <v>58</v>
      </c>
      <c r="E3" s="1" t="s">
        <v>2</v>
      </c>
      <c r="F3" s="1" t="s">
        <v>40</v>
      </c>
      <c r="G3" s="1" t="s">
        <v>29</v>
      </c>
      <c r="H3" s="1" t="s">
        <v>40</v>
      </c>
      <c r="I3" s="1" t="s">
        <v>68</v>
      </c>
      <c r="J3" s="1" t="s">
        <v>68</v>
      </c>
      <c r="L3" s="1" t="s">
        <v>46</v>
      </c>
      <c r="M3" s="1" t="s">
        <v>47</v>
      </c>
      <c r="N3" s="1" t="s">
        <v>47</v>
      </c>
    </row>
    <row r="4" spans="1:14" ht="12.75">
      <c r="A4" s="1" t="s">
        <v>50</v>
      </c>
      <c r="B4" s="1" t="s">
        <v>50</v>
      </c>
      <c r="C4" s="1" t="s">
        <v>21</v>
      </c>
      <c r="D4" s="1" t="s">
        <v>50</v>
      </c>
      <c r="E4" s="1" t="s">
        <v>24</v>
      </c>
      <c r="F4" s="1" t="s">
        <v>56</v>
      </c>
      <c r="G4" s="1" t="s">
        <v>30</v>
      </c>
      <c r="H4" s="1" t="s">
        <v>53</v>
      </c>
      <c r="I4" s="1" t="s">
        <v>34</v>
      </c>
      <c r="J4" s="1" t="s">
        <v>32</v>
      </c>
      <c r="L4" s="1" t="s">
        <v>4</v>
      </c>
      <c r="M4" s="1" t="s">
        <v>49</v>
      </c>
      <c r="N4" s="1" t="s">
        <v>48</v>
      </c>
    </row>
    <row r="5" spans="1:14" ht="12.75">
      <c r="A5" s="1" t="s">
        <v>52</v>
      </c>
      <c r="B5" s="1" t="s">
        <v>52</v>
      </c>
      <c r="C5" s="1" t="s">
        <v>10</v>
      </c>
      <c r="D5" s="1" t="s">
        <v>52</v>
      </c>
      <c r="E5" s="1" t="s">
        <v>0</v>
      </c>
      <c r="F5" s="1" t="s">
        <v>0</v>
      </c>
      <c r="G5" s="1" t="s">
        <v>10</v>
      </c>
      <c r="H5" s="1" t="s">
        <v>51</v>
      </c>
      <c r="I5" s="1" t="s">
        <v>1</v>
      </c>
      <c r="J5" s="1" t="s">
        <v>16</v>
      </c>
      <c r="L5" s="1" t="s">
        <v>1</v>
      </c>
      <c r="M5" s="1" t="s">
        <v>1</v>
      </c>
      <c r="N5" s="1" t="s">
        <v>16</v>
      </c>
    </row>
    <row r="6" spans="1:14" ht="12.75">
      <c r="A6" s="6">
        <v>70.85</v>
      </c>
      <c r="B6" s="5">
        <v>1141</v>
      </c>
      <c r="C6" s="6">
        <v>5</v>
      </c>
      <c r="D6" s="7">
        <f>(A6*C6+B6)/(C6+1)</f>
        <v>249.20833333333334</v>
      </c>
      <c r="E6" s="3">
        <v>250</v>
      </c>
      <c r="F6" s="1">
        <f>G19+G32+G45</f>
        <v>162.6540648628498</v>
      </c>
      <c r="G6" s="1">
        <f>1-E19*E32*E45</f>
        <v>0.6506162594513991</v>
      </c>
      <c r="H6" s="7">
        <f>1000*((G19+G32)/A6+G45/D6)</f>
        <v>1953.1577137032987</v>
      </c>
      <c r="I6" s="4">
        <f>A19+A32+A45</f>
        <v>4811.286738573748</v>
      </c>
      <c r="J6" s="4">
        <f>J14+J27+J40</f>
        <v>1487.4589819913404</v>
      </c>
      <c r="L6" s="4">
        <v>449.8747949918871</v>
      </c>
      <c r="M6" s="9">
        <v>20466.110546092466</v>
      </c>
      <c r="N6" s="4">
        <v>2656.9376996567885</v>
      </c>
    </row>
    <row r="9" spans="1:2" ht="12.75">
      <c r="A9" s="2" t="s">
        <v>77</v>
      </c>
      <c r="B9" s="2"/>
    </row>
    <row r="11" spans="1:10" ht="12.75">
      <c r="A11" s="1" t="s">
        <v>57</v>
      </c>
      <c r="B11" s="1" t="s">
        <v>5</v>
      </c>
      <c r="C11" s="1" t="s">
        <v>5</v>
      </c>
      <c r="D11" s="1" t="s">
        <v>8</v>
      </c>
      <c r="E11" s="1" t="s">
        <v>12</v>
      </c>
      <c r="F11" s="1" t="s">
        <v>66</v>
      </c>
      <c r="G11" s="1" t="s">
        <v>14</v>
      </c>
      <c r="H11" s="1" t="s">
        <v>28</v>
      </c>
      <c r="I11" s="1" t="s">
        <v>33</v>
      </c>
      <c r="J11" s="1" t="s">
        <v>31</v>
      </c>
    </row>
    <row r="12" spans="1:10" ht="12.75">
      <c r="A12" s="1" t="s">
        <v>4</v>
      </c>
      <c r="B12" s="1" t="s">
        <v>6</v>
      </c>
      <c r="C12" s="1" t="s">
        <v>64</v>
      </c>
      <c r="D12" s="1" t="s">
        <v>9</v>
      </c>
      <c r="E12" s="1" t="s">
        <v>11</v>
      </c>
      <c r="F12" s="1" t="s">
        <v>64</v>
      </c>
      <c r="G12" s="1" t="s">
        <v>15</v>
      </c>
      <c r="H12" s="1" t="s">
        <v>21</v>
      </c>
      <c r="I12" s="1" t="s">
        <v>18</v>
      </c>
      <c r="J12" s="1" t="s">
        <v>32</v>
      </c>
    </row>
    <row r="13" spans="1:10" ht="12.75">
      <c r="A13" s="1" t="s">
        <v>1</v>
      </c>
      <c r="B13" s="1" t="s">
        <v>7</v>
      </c>
      <c r="C13" s="1" t="s">
        <v>65</v>
      </c>
      <c r="D13" s="1" t="s">
        <v>10</v>
      </c>
      <c r="E13" s="1" t="s">
        <v>13</v>
      </c>
      <c r="F13" s="1" t="s">
        <v>67</v>
      </c>
      <c r="G13" s="1" t="s">
        <v>16</v>
      </c>
      <c r="H13" s="1" t="s">
        <v>10</v>
      </c>
      <c r="I13" s="1" t="s">
        <v>55</v>
      </c>
      <c r="J13" s="1" t="s">
        <v>16</v>
      </c>
    </row>
    <row r="14" spans="1:11" ht="12.75">
      <c r="A14" s="5">
        <v>27</v>
      </c>
      <c r="B14" s="6">
        <v>223.65</v>
      </c>
      <c r="C14" s="6">
        <v>1847.59</v>
      </c>
      <c r="D14" s="6">
        <v>5</v>
      </c>
      <c r="E14" s="1">
        <f>0.001*D14*SQRT(1.4*287*B14)</f>
        <v>1.498854312466692</v>
      </c>
      <c r="F14" s="1">
        <f>0.0007*C14*D14*D14</f>
        <v>32.332825</v>
      </c>
      <c r="G14" s="5">
        <v>900</v>
      </c>
      <c r="H14" s="6">
        <v>5</v>
      </c>
      <c r="I14" s="6">
        <v>3</v>
      </c>
      <c r="J14" s="4">
        <f>1000*E14/I14</f>
        <v>499.61810415556397</v>
      </c>
      <c r="K14" s="3"/>
    </row>
    <row r="15" ht="12.75">
      <c r="M15" s="18" t="s">
        <v>81</v>
      </c>
    </row>
    <row r="16" spans="1:13" ht="12.75">
      <c r="A16" s="1" t="s">
        <v>12</v>
      </c>
      <c r="B16" s="1" t="s">
        <v>35</v>
      </c>
      <c r="C16" s="1" t="s">
        <v>17</v>
      </c>
      <c r="D16" s="1" t="s">
        <v>83</v>
      </c>
      <c r="E16" s="1" t="s">
        <v>22</v>
      </c>
      <c r="F16" s="1" t="s">
        <v>38</v>
      </c>
      <c r="G16" s="1" t="s">
        <v>39</v>
      </c>
      <c r="H16" s="1" t="s">
        <v>45</v>
      </c>
      <c r="I16" s="1" t="s">
        <v>3</v>
      </c>
      <c r="J16" s="1" t="s">
        <v>57</v>
      </c>
      <c r="L16" s="13"/>
      <c r="M16" s="19" t="s">
        <v>82</v>
      </c>
    </row>
    <row r="17" spans="1:10" ht="12.75">
      <c r="A17" s="1" t="s">
        <v>34</v>
      </c>
      <c r="B17" s="1" t="s">
        <v>36</v>
      </c>
      <c r="C17" s="1" t="s">
        <v>19</v>
      </c>
      <c r="D17" s="1" t="s">
        <v>21</v>
      </c>
      <c r="E17" s="1" t="s">
        <v>23</v>
      </c>
      <c r="F17" s="1" t="s">
        <v>25</v>
      </c>
      <c r="G17" s="1" t="s">
        <v>31</v>
      </c>
      <c r="H17" s="1" t="s">
        <v>41</v>
      </c>
      <c r="I17" s="1" t="s">
        <v>42</v>
      </c>
      <c r="J17" s="1" t="s">
        <v>75</v>
      </c>
    </row>
    <row r="18" spans="1:10" ht="12.75">
      <c r="A18" s="1" t="s">
        <v>1</v>
      </c>
      <c r="B18" s="1" t="s">
        <v>37</v>
      </c>
      <c r="C18" s="1" t="s">
        <v>20</v>
      </c>
      <c r="D18" s="1" t="s">
        <v>10</v>
      </c>
      <c r="E18" s="1" t="s">
        <v>10</v>
      </c>
      <c r="F18" s="1" t="s">
        <v>0</v>
      </c>
      <c r="G18" s="1" t="s">
        <v>0</v>
      </c>
      <c r="H18" s="1" t="s">
        <v>44</v>
      </c>
      <c r="I18" s="1" t="s">
        <v>43</v>
      </c>
      <c r="J18" s="1" t="s">
        <v>43</v>
      </c>
    </row>
    <row r="19" spans="1:11" ht="12.75">
      <c r="A19" s="4">
        <f>0.0005*I14*J14^2</f>
        <v>374.427375</v>
      </c>
      <c r="B19" s="7">
        <f>180/PI()*ASIN(A14/A19)</f>
        <v>4.135194124104024</v>
      </c>
      <c r="C19" s="1">
        <f>9.80665*(6378/(6378+A14))^2</f>
        <v>9.724145248512304</v>
      </c>
      <c r="D19" s="1">
        <f>1000*(COS(B19*PI()/180)*E14)^2/((6378+A14)*C19)</f>
        <v>0.035882616734515344</v>
      </c>
      <c r="E19" s="1">
        <f>EXP((1000*E14+(SIN(B19*PI()/180)+1/H14)*J14*C19)/(-9.80665*G14))</f>
        <v>0.7264331247968294</v>
      </c>
      <c r="F19" s="1">
        <f>E19*E6</f>
        <v>181.60828119920737</v>
      </c>
      <c r="G19" s="1">
        <f>E6-F19</f>
        <v>68.39171880079263</v>
      </c>
      <c r="H19" s="7">
        <f>1000*G19/J14</f>
        <v>136.88799151180837</v>
      </c>
      <c r="I19" s="4">
        <f>E6*(9.805/H14+I14)</f>
        <v>1240.25</v>
      </c>
      <c r="J19" s="4">
        <f>F19*C19*(1-D19)/COS(B19*PI()/180)</f>
        <v>1707.0611620781758</v>
      </c>
      <c r="K19" s="7"/>
    </row>
    <row r="22" spans="1:2" ht="12.75">
      <c r="A22" s="2" t="s">
        <v>78</v>
      </c>
      <c r="B22" s="2"/>
    </row>
    <row r="23" spans="12:13" ht="12.75">
      <c r="L23" s="13" t="s">
        <v>72</v>
      </c>
      <c r="M23" s="12" t="s">
        <v>73</v>
      </c>
    </row>
    <row r="24" spans="1:10" ht="12.75">
      <c r="A24" s="1" t="s">
        <v>57</v>
      </c>
      <c r="B24" s="1" t="s">
        <v>5</v>
      </c>
      <c r="C24" s="1" t="s">
        <v>5</v>
      </c>
      <c r="D24" s="1" t="s">
        <v>8</v>
      </c>
      <c r="E24" s="1" t="s">
        <v>12</v>
      </c>
      <c r="F24" s="1" t="s">
        <v>66</v>
      </c>
      <c r="G24" s="1" t="s">
        <v>14</v>
      </c>
      <c r="H24" s="1" t="s">
        <v>28</v>
      </c>
      <c r="I24" s="1" t="s">
        <v>33</v>
      </c>
      <c r="J24" s="1" t="s">
        <v>31</v>
      </c>
    </row>
    <row r="25" spans="1:10" ht="12.75">
      <c r="A25" s="1" t="s">
        <v>4</v>
      </c>
      <c r="B25" s="1" t="s">
        <v>6</v>
      </c>
      <c r="C25" s="1" t="s">
        <v>64</v>
      </c>
      <c r="D25" s="1" t="s">
        <v>9</v>
      </c>
      <c r="E25" s="1" t="s">
        <v>11</v>
      </c>
      <c r="F25" s="1" t="s">
        <v>64</v>
      </c>
      <c r="G25" s="1" t="s">
        <v>15</v>
      </c>
      <c r="H25" s="1" t="s">
        <v>21</v>
      </c>
      <c r="I25" s="1" t="s">
        <v>18</v>
      </c>
      <c r="J25" s="1" t="s">
        <v>32</v>
      </c>
    </row>
    <row r="26" spans="1:10" ht="12.75">
      <c r="A26" s="1" t="s">
        <v>1</v>
      </c>
      <c r="B26" s="1" t="s">
        <v>7</v>
      </c>
      <c r="C26" s="1" t="s">
        <v>65</v>
      </c>
      <c r="D26" s="1" t="s">
        <v>10</v>
      </c>
      <c r="E26" s="1" t="s">
        <v>13</v>
      </c>
      <c r="F26" s="1" t="s">
        <v>67</v>
      </c>
      <c r="G26" s="1" t="s">
        <v>16</v>
      </c>
      <c r="H26" s="1" t="s">
        <v>10</v>
      </c>
      <c r="I26" s="1" t="s">
        <v>55</v>
      </c>
      <c r="J26" s="1" t="s">
        <v>16</v>
      </c>
    </row>
    <row r="27" spans="1:11" ht="12.75">
      <c r="A27" s="5">
        <v>51</v>
      </c>
      <c r="B27" s="6">
        <v>270.65</v>
      </c>
      <c r="C27" s="6">
        <v>66.95</v>
      </c>
      <c r="D27" s="6">
        <v>20</v>
      </c>
      <c r="E27" s="1">
        <f>0.001*D27*SQRT(1.4*287*B27)</f>
        <v>6.595367161879617</v>
      </c>
      <c r="F27" s="1">
        <f>0.0007*C27*D27*D27</f>
        <v>18.746000000000002</v>
      </c>
      <c r="G27" s="5">
        <v>1800</v>
      </c>
      <c r="H27" s="6">
        <v>4</v>
      </c>
      <c r="I27" s="6">
        <v>6</v>
      </c>
      <c r="J27" s="4">
        <f>1000*(E27-E14)/I27</f>
        <v>849.4188082354875</v>
      </c>
      <c r="K27" s="3"/>
    </row>
    <row r="29" spans="1:10" ht="12.75">
      <c r="A29" s="1" t="s">
        <v>12</v>
      </c>
      <c r="B29" s="1" t="s">
        <v>35</v>
      </c>
      <c r="C29" s="1" t="s">
        <v>17</v>
      </c>
      <c r="D29" s="1" t="s">
        <v>83</v>
      </c>
      <c r="E29" s="1" t="s">
        <v>22</v>
      </c>
      <c r="F29" s="1" t="s">
        <v>38</v>
      </c>
      <c r="G29" s="1" t="s">
        <v>39</v>
      </c>
      <c r="H29" s="1" t="s">
        <v>45</v>
      </c>
      <c r="I29" s="1" t="s">
        <v>33</v>
      </c>
      <c r="J29" s="1" t="s">
        <v>57</v>
      </c>
    </row>
    <row r="30" spans="1:10" ht="12.75">
      <c r="A30" s="1" t="s">
        <v>34</v>
      </c>
      <c r="B30" s="1" t="s">
        <v>36</v>
      </c>
      <c r="C30" s="1" t="s">
        <v>19</v>
      </c>
      <c r="D30" s="1" t="s">
        <v>21</v>
      </c>
      <c r="E30" s="1" t="s">
        <v>26</v>
      </c>
      <c r="F30" s="1" t="s">
        <v>27</v>
      </c>
      <c r="G30" s="1" t="s">
        <v>31</v>
      </c>
      <c r="H30" s="1" t="s">
        <v>41</v>
      </c>
      <c r="I30" s="1" t="s">
        <v>42</v>
      </c>
      <c r="J30" s="1" t="s">
        <v>75</v>
      </c>
    </row>
    <row r="31" spans="1:10" ht="12.75">
      <c r="A31" s="1" t="s">
        <v>1</v>
      </c>
      <c r="B31" s="1" t="s">
        <v>37</v>
      </c>
      <c r="C31" s="1" t="s">
        <v>20</v>
      </c>
      <c r="D31" s="1" t="s">
        <v>10</v>
      </c>
      <c r="E31" s="1" t="s">
        <v>10</v>
      </c>
      <c r="F31" s="1" t="s">
        <v>0</v>
      </c>
      <c r="G31" s="1" t="s">
        <v>0</v>
      </c>
      <c r="H31" s="1" t="s">
        <v>44</v>
      </c>
      <c r="I31" s="1" t="s">
        <v>43</v>
      </c>
      <c r="J31" s="1" t="s">
        <v>43</v>
      </c>
    </row>
    <row r="32" spans="1:11" ht="12.75">
      <c r="A32" s="4">
        <f>E14*J27+0.0005*I27*J27^2</f>
        <v>3437.6919791666664</v>
      </c>
      <c r="B32" s="7">
        <f>180/PI()*ASIN((A27-A14)/A32)</f>
        <v>0.40000962487500485</v>
      </c>
      <c r="C32" s="1">
        <f>9.80665*(6378/(6378+A27))^2</f>
        <v>9.651678652370446</v>
      </c>
      <c r="D32" s="1">
        <f>1000*(COS(B32*PI()/180)*E27)^2/((6378+A27)*C32)</f>
        <v>0.7009878771444477</v>
      </c>
      <c r="E32" s="1">
        <f>EXP((1000*(E27-E14)+(SIN(B32*PI()/180)+(1-D19)/H27)*J27*C32)/(-9.80665*G27))</f>
        <v>0.6677050938206238</v>
      </c>
      <c r="F32" s="1">
        <f>E32*F19</f>
        <v>121.26077443671899</v>
      </c>
      <c r="G32" s="1">
        <f>F19-F32</f>
        <v>60.34750676248838</v>
      </c>
      <c r="H32" s="7">
        <f>1000*G32/J27</f>
        <v>71.04564459533138</v>
      </c>
      <c r="I32" s="4">
        <f>9.805*G27*G32/J27</f>
        <v>1253.8845814630033</v>
      </c>
      <c r="J32" s="4">
        <f>F32*C32*(1-D32)/COS(B32*PI()/180)</f>
        <v>349.9633553695613</v>
      </c>
      <c r="K32" s="7"/>
    </row>
    <row r="35" spans="1:2" ht="12.75">
      <c r="A35" s="2" t="s">
        <v>79</v>
      </c>
      <c r="B35" s="2"/>
    </row>
    <row r="37" spans="1:10" ht="12.75">
      <c r="A37" s="1" t="s">
        <v>57</v>
      </c>
      <c r="B37" s="1" t="s">
        <v>5</v>
      </c>
      <c r="C37" s="1" t="s">
        <v>5</v>
      </c>
      <c r="D37" s="1" t="s">
        <v>8</v>
      </c>
      <c r="E37" s="1" t="s">
        <v>12</v>
      </c>
      <c r="F37" s="1" t="s">
        <v>66</v>
      </c>
      <c r="G37" s="1" t="s">
        <v>14</v>
      </c>
      <c r="H37" s="1" t="s">
        <v>28</v>
      </c>
      <c r="I37" s="1" t="s">
        <v>33</v>
      </c>
      <c r="J37" s="1" t="s">
        <v>31</v>
      </c>
    </row>
    <row r="38" spans="1:10" ht="12.75">
      <c r="A38" s="1" t="s">
        <v>4</v>
      </c>
      <c r="B38" s="1" t="s">
        <v>6</v>
      </c>
      <c r="C38" s="1" t="s">
        <v>64</v>
      </c>
      <c r="D38" s="1" t="s">
        <v>9</v>
      </c>
      <c r="E38" s="1" t="s">
        <v>11</v>
      </c>
      <c r="F38" s="1" t="s">
        <v>64</v>
      </c>
      <c r="G38" s="1" t="s">
        <v>15</v>
      </c>
      <c r="H38" s="1" t="s">
        <v>21</v>
      </c>
      <c r="I38" s="1" t="s">
        <v>18</v>
      </c>
      <c r="J38" s="1" t="s">
        <v>32</v>
      </c>
    </row>
    <row r="39" spans="1:10" ht="12.75">
      <c r="A39" s="1" t="s">
        <v>1</v>
      </c>
      <c r="B39" s="1" t="s">
        <v>7</v>
      </c>
      <c r="C39" s="1" t="s">
        <v>65</v>
      </c>
      <c r="D39" s="1" t="s">
        <v>10</v>
      </c>
      <c r="E39" s="1" t="s">
        <v>13</v>
      </c>
      <c r="F39" s="1" t="s">
        <v>67</v>
      </c>
      <c r="G39" s="1" t="s">
        <v>16</v>
      </c>
      <c r="H39" s="1" t="s">
        <v>10</v>
      </c>
      <c r="I39" s="1" t="s">
        <v>55</v>
      </c>
      <c r="J39" s="1" t="s">
        <v>16</v>
      </c>
    </row>
    <row r="40" spans="1:10" ht="12.75">
      <c r="A40" s="5">
        <v>105</v>
      </c>
      <c r="B40" s="6">
        <v>242.95</v>
      </c>
      <c r="C40" s="3">
        <v>0.013</v>
      </c>
      <c r="D40" s="8">
        <f>1000*E40/SQRT(1.4*287*B40)</f>
        <v>25.09673462764763</v>
      </c>
      <c r="E40" s="1">
        <f>SQRT(398600/(6378+A40))</f>
        <v>7.8411657882822166</v>
      </c>
      <c r="F40" s="1">
        <f>0.0007*C40*D40*D40</f>
        <v>0.005731599409632165</v>
      </c>
      <c r="G40" s="5">
        <v>450</v>
      </c>
      <c r="H40" s="6">
        <v>3</v>
      </c>
      <c r="I40" s="6">
        <v>9</v>
      </c>
      <c r="J40" s="4">
        <f>1000*(E40-E27)/I40</f>
        <v>138.42206960028886</v>
      </c>
    </row>
    <row r="42" spans="1:10" ht="12.75">
      <c r="A42" s="1" t="s">
        <v>12</v>
      </c>
      <c r="B42" s="1" t="s">
        <v>35</v>
      </c>
      <c r="C42" s="1" t="s">
        <v>17</v>
      </c>
      <c r="D42" s="1" t="s">
        <v>83</v>
      </c>
      <c r="E42" s="1" t="s">
        <v>22</v>
      </c>
      <c r="F42" s="1" t="s">
        <v>38</v>
      </c>
      <c r="G42" s="1" t="s">
        <v>39</v>
      </c>
      <c r="H42" s="1" t="s">
        <v>45</v>
      </c>
      <c r="I42" s="1" t="s">
        <v>33</v>
      </c>
      <c r="J42" s="1" t="s">
        <v>57</v>
      </c>
    </row>
    <row r="43" spans="1:10" ht="12.75">
      <c r="A43" s="1" t="s">
        <v>34</v>
      </c>
      <c r="B43" s="1" t="s">
        <v>36</v>
      </c>
      <c r="C43" s="1" t="s">
        <v>19</v>
      </c>
      <c r="D43" s="1" t="s">
        <v>21</v>
      </c>
      <c r="E43" s="1" t="s">
        <v>61</v>
      </c>
      <c r="F43" s="1" t="s">
        <v>62</v>
      </c>
      <c r="G43" s="1" t="s">
        <v>31</v>
      </c>
      <c r="H43" s="1" t="s">
        <v>41</v>
      </c>
      <c r="I43" s="1" t="s">
        <v>42</v>
      </c>
      <c r="J43" s="1" t="s">
        <v>75</v>
      </c>
    </row>
    <row r="44" spans="1:10" ht="12.75">
      <c r="A44" s="1" t="s">
        <v>1</v>
      </c>
      <c r="B44" s="1" t="s">
        <v>37</v>
      </c>
      <c r="C44" s="1" t="s">
        <v>20</v>
      </c>
      <c r="D44" s="1" t="s">
        <v>10</v>
      </c>
      <c r="E44" s="1" t="s">
        <v>10</v>
      </c>
      <c r="F44" s="1" t="s">
        <v>0</v>
      </c>
      <c r="G44" s="1" t="s">
        <v>0</v>
      </c>
      <c r="H44" s="1" t="s">
        <v>44</v>
      </c>
      <c r="I44" s="1" t="s">
        <v>43</v>
      </c>
      <c r="J44" s="1" t="s">
        <v>43</v>
      </c>
    </row>
    <row r="45" spans="1:10" ht="12.75">
      <c r="A45" s="4">
        <f>E27*J40+0.0005*I40*J40^2</f>
        <v>999.1673844070824</v>
      </c>
      <c r="B45" s="7">
        <f>180/PI()*ASIN((A40-A27)/A45)</f>
        <v>3.098059747237182</v>
      </c>
      <c r="C45" s="1">
        <f>9.80665*(6378/(6378+A40))^2</f>
        <v>9.491561415150278</v>
      </c>
      <c r="D45" s="1">
        <f>1000*(COS(B45*PI()/180)*E40)^2/((6378+A40)*C45)</f>
        <v>0.9962703800702573</v>
      </c>
      <c r="E45" s="1">
        <f>EXP((1000*(E40-E27)+(SIN(B45*PI()/180)+(1-D32)/H40)*J40*C45)/(-9.80665*G40))</f>
        <v>0.7203148383546938</v>
      </c>
      <c r="F45" s="1">
        <f>E45*F32</f>
        <v>87.34593513715022</v>
      </c>
      <c r="G45" s="1">
        <f>F32-F45</f>
        <v>33.91483929956877</v>
      </c>
      <c r="H45" s="7">
        <f>1000*G45/J40</f>
        <v>245.01034695913833</v>
      </c>
      <c r="I45" s="4">
        <f>9.805*G40*G45/J40</f>
        <v>1081.046903370458</v>
      </c>
      <c r="J45" s="4">
        <f>F45*C45*(1-D45)/COS(B45*PI()/180)</f>
        <v>3.0965644464366378</v>
      </c>
    </row>
  </sheetData>
  <printOptions/>
  <pageMargins left="0.7480314960629921" right="0.7480314960629921" top="0.7874015748031497" bottom="0.7874015748031497" header="0.31496062992125984" footer="0.31496062992125984"/>
  <pageSetup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H1:J1"/>
  <sheetViews>
    <sheetView workbookViewId="0" topLeftCell="A1">
      <selection activeCell="A1" sqref="A1"/>
    </sheetView>
  </sheetViews>
  <sheetFormatPr defaultColWidth="9.140625" defaultRowHeight="12.75"/>
  <cols>
    <col min="1" max="16384" width="14.7109375" style="10" customWidth="1"/>
  </cols>
  <sheetData>
    <row r="1" spans="8:10" ht="12.75">
      <c r="H1" s="11" t="s">
        <v>72</v>
      </c>
      <c r="I1" s="15" t="s">
        <v>80</v>
      </c>
      <c r="J1" s="15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I1:J1"/>
  <sheetViews>
    <sheetView workbookViewId="0" topLeftCell="A1">
      <selection activeCell="A1" sqref="A1"/>
    </sheetView>
  </sheetViews>
  <sheetFormatPr defaultColWidth="9.140625" defaultRowHeight="12.75"/>
  <cols>
    <col min="1" max="16384" width="14.7109375" style="0" customWidth="1"/>
  </cols>
  <sheetData>
    <row r="1" spans="9:10" ht="12.75">
      <c r="I1" s="11" t="s">
        <v>72</v>
      </c>
      <c r="J1" t="s">
        <v>71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H1"/>
  <sheetViews>
    <sheetView workbookViewId="0" topLeftCell="A1">
      <selection activeCell="A1" sqref="A1"/>
    </sheetView>
  </sheetViews>
  <sheetFormatPr defaultColWidth="9.140625" defaultRowHeight="12.75"/>
  <cols>
    <col min="1" max="16384" width="14.7109375" style="0" customWidth="1"/>
  </cols>
  <sheetData>
    <row r="1" spans="7:8" ht="12.75">
      <c r="G1" s="11" t="s">
        <v>72</v>
      </c>
      <c r="H1" t="s">
        <v>76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F1:G1"/>
  <sheetViews>
    <sheetView workbookViewId="0" topLeftCell="A1">
      <selection activeCell="A1" sqref="A1"/>
    </sheetView>
  </sheetViews>
  <sheetFormatPr defaultColWidth="9.140625" defaultRowHeight="12.75"/>
  <cols>
    <col min="1" max="16384" width="14.7109375" style="8" customWidth="1"/>
  </cols>
  <sheetData>
    <row r="1" spans="6:7" ht="12.75">
      <c r="F1" s="14" t="s">
        <v>72</v>
      </c>
      <c r="G1" t="s">
        <v>74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 Plane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Ascent Profile</dc:title>
  <dc:subject>Space Plane</dc:subject>
  <dc:creator>Axel Rohde</dc:creator>
  <cp:keywords/>
  <dc:description/>
  <cp:lastModifiedBy>Axel Rohde</cp:lastModifiedBy>
  <cp:lastPrinted>2021-01-03T18:41:51Z</cp:lastPrinted>
  <dcterms:created xsi:type="dcterms:W3CDTF">2021-01-01T15:42:51Z</dcterms:created>
  <dcterms:modified xsi:type="dcterms:W3CDTF">2022-10-01T14:00:01Z</dcterms:modified>
  <cp:category/>
  <cp:version/>
  <cp:contentType/>
  <cp:contentStatus/>
</cp:coreProperties>
</file>